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P&amp;L" sheetId="2" state="visible" r:id="rId2"/>
    <sheet xmlns:r="http://schemas.openxmlformats.org/officeDocument/2006/relationships" name="Build-out" sheetId="3" state="visible" r:id="rId3"/>
    <sheet xmlns:r="http://schemas.openxmlformats.org/officeDocument/2006/relationships" name="Sensitivity" sheetId="4" state="visible" r:id="rId4"/>
    <sheet xmlns:r="http://schemas.openxmlformats.org/officeDocument/2006/relationships" name="Use of Funds" sheetId="5" state="visible" r:id="rId5"/>
    <sheet xmlns:r="http://schemas.openxmlformats.org/officeDocument/2006/relationships" name="READM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12473E"/>
      <sz val="16"/>
    </font>
    <font>
      <name val="Calibri"/>
      <i val="1"/>
      <color rgb="005A6B66"/>
      <sz val="10"/>
    </font>
    <font>
      <name val="Calibri"/>
      <b val="1"/>
      <color rgb="0012473E"/>
      <sz val="11"/>
    </font>
    <font>
      <name val="Calibri"/>
      <b val="1"/>
      <sz val="11"/>
    </font>
    <font>
      <name val="Calibri"/>
      <sz val="11"/>
    </font>
    <font>
      <name val="Calibri"/>
      <i val="1"/>
      <color rgb="005A6B66"/>
      <sz val="9"/>
    </font>
    <font>
      <name val="Calibri"/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FDF3D6"/>
      </patternFill>
    </fill>
    <fill>
      <patternFill patternType="solid">
        <fgColor rgb="0012473E"/>
      </patternFill>
    </fill>
    <fill>
      <patternFill patternType="solid">
        <fgColor rgb="00DCEAE5"/>
      </patternFill>
    </fill>
    <fill>
      <patternFill patternType="solid">
        <fgColor rgb="00CDE9D6"/>
      </patternFill>
    </fill>
  </fills>
  <borders count="2">
    <border>
      <left/>
      <right/>
      <top/>
      <bottom/>
      <diagonal/>
    </border>
    <border>
      <left style="thin">
        <color rgb="00C7D6D1"/>
      </left>
      <right style="thin">
        <color rgb="00C7D6D1"/>
      </right>
      <top style="thin">
        <color rgb="00C7D6D1"/>
      </top>
      <bottom style="thin">
        <color rgb="00C7D6D1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pivotButton="0" quotePrefix="0" xfId="0"/>
    <xf numFmtId="0" fontId="6" fillId="0" borderId="0" pivotButton="0" quotePrefix="0" xfId="0"/>
    <xf numFmtId="3" fontId="5" fillId="2" borderId="1" pivotButton="0" quotePrefix="0" xfId="0"/>
    <xf numFmtId="3" fontId="5" fillId="0" borderId="0" pivotButton="0" quotePrefix="0" xfId="0"/>
    <xf numFmtId="9" fontId="5" fillId="2" borderId="1" pivotButton="0" quotePrefix="0" xfId="0"/>
    <xf numFmtId="164" fontId="5" fillId="2" borderId="1" pivotButton="0" quotePrefix="0" xfId="0"/>
    <xf numFmtId="0" fontId="7" fillId="3" borderId="1" pivotButton="0" quotePrefix="0" xfId="0"/>
    <xf numFmtId="0" fontId="5" fillId="0" borderId="0" pivotButton="0" quotePrefix="0" xfId="0"/>
    <xf numFmtId="164" fontId="4" fillId="4" borderId="0" pivotButton="0" quotePrefix="0" xfId="0"/>
    <xf numFmtId="164" fontId="5" fillId="0" borderId="0" pivotButton="0" quotePrefix="0" xfId="0"/>
    <xf numFmtId="9" fontId="5" fillId="0" borderId="0" pivotButton="0" quotePrefix="0" xfId="0"/>
    <xf numFmtId="165" fontId="5" fillId="0" borderId="0" pivotButton="0" quotePrefix="0" xfId="0"/>
    <xf numFmtId="0" fontId="7" fillId="3" borderId="0" pivotButton="0" quotePrefix="0" xfId="0"/>
    <xf numFmtId="9" fontId="7" fillId="3" borderId="0" pivotButton="0" quotePrefix="0" xfId="0"/>
    <xf numFmtId="164" fontId="4" fillId="5" borderId="0" pivotButton="0" quotePrefix="0" xfId="0"/>
    <xf numFmtId="0" fontId="4" fillId="4" borderId="0" pivotButton="0" quotePrefix="0" xfId="0"/>
    <xf numFmtId="9" fontId="4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34" customWidth="1" min="1" max="1"/>
    <col width="15" customWidth="1" min="2" max="2"/>
    <col width="6" customWidth="1" min="3" max="3"/>
    <col width="50" customWidth="1" min="4" max="4"/>
  </cols>
  <sheetData>
    <row r="1">
      <c r="A1" s="1" t="inlineStr">
        <is>
          <t>Swanbank Sovereign DC - Financial Model</t>
        </is>
      </c>
    </row>
    <row r="2">
      <c r="A2" s="2" t="inlineStr">
        <is>
          <t>Stage-1 case (30 MW). Yellow cells are editable inputs; all other tabs reference them. Modelled estimate, pre-NDA.</t>
        </is>
      </c>
    </row>
    <row r="4">
      <c r="A4" s="3" t="inlineStr">
        <is>
          <t>Capacity &amp; build</t>
        </is>
      </c>
    </row>
    <row r="5">
      <c r="A5" s="4" t="inlineStr">
        <is>
          <t>IT load (MW)</t>
        </is>
      </c>
      <c r="B5" s="5" t="n">
        <v>30</v>
      </c>
      <c r="C5" s="6" t="inlineStr">
        <is>
          <t>MW</t>
        </is>
      </c>
      <c r="D5" s="6" t="inlineStr">
        <is>
          <t>Stage-1 hall</t>
        </is>
      </c>
    </row>
    <row r="6">
      <c r="A6" s="4" t="inlineStr">
        <is>
          <t>Rack density (kW/rack)</t>
        </is>
      </c>
      <c r="B6" s="5" t="n">
        <v>150</v>
      </c>
      <c r="C6" s="6" t="inlineStr">
        <is>
          <t>kW</t>
        </is>
      </c>
      <c r="D6" s="6" t="inlineStr">
        <is>
          <t>Helios rack-scale</t>
        </is>
      </c>
    </row>
    <row r="7">
      <c r="A7" s="4" t="inlineStr">
        <is>
          <t>GPU power (W)</t>
        </is>
      </c>
      <c r="B7" s="7" t="n">
        <v>2070</v>
      </c>
      <c r="C7" s="6" t="inlineStr">
        <is>
          <t>W</t>
        </is>
      </c>
      <c r="D7" s="6" t="inlineStr">
        <is>
          <t>MI455X / Helios, facility-level</t>
        </is>
      </c>
    </row>
    <row r="8">
      <c r="A8" s="4" t="inlineStr">
        <is>
          <t>PUE (facility overhead)</t>
        </is>
      </c>
      <c r="B8" s="5" t="n">
        <v>1.25</v>
      </c>
      <c r="C8" s="6" t="inlineStr">
        <is>
          <t>x</t>
        </is>
      </c>
      <c r="D8" s="6" t="inlineStr">
        <is>
          <t>Closed-loop direct liquid - efficient</t>
        </is>
      </c>
    </row>
    <row r="9">
      <c r="A9" s="4" t="inlineStr">
        <is>
          <t>GPUs per rack</t>
        </is>
      </c>
      <c r="B9" s="8">
        <f>ROUND(B5*1000/B6,0)</f>
        <v/>
      </c>
      <c r="C9" s="6" t="inlineStr">
        <is>
          <t>#</t>
        </is>
      </c>
      <c r="D9" s="6">
        <f> density / GPU power</f>
        <v/>
      </c>
    </row>
    <row r="10">
      <c r="A10" s="4" t="inlineStr">
        <is>
          <t>Total racks</t>
        </is>
      </c>
      <c r="B10" s="8">
        <f>ROUND(B4*1000/B5,0)</f>
        <v/>
      </c>
      <c r="C10" s="6" t="inlineStr">
        <is>
          <t>#</t>
        </is>
      </c>
      <c r="D10" s="6">
        <f> IT MW / density</f>
        <v/>
      </c>
    </row>
    <row r="11">
      <c r="A11" s="4" t="inlineStr">
        <is>
          <t>Total GPUs</t>
        </is>
      </c>
      <c r="B11" s="8">
        <f>B9*B10</f>
        <v/>
      </c>
      <c r="C11" s="6" t="inlineStr">
        <is>
          <t>#</t>
        </is>
      </c>
      <c r="D11" s="6">
        <f> racks x GPUs/rack</f>
        <v/>
      </c>
    </row>
    <row r="12">
      <c r="A12" s="3" t="inlineStr">
        <is>
          <t>Revenue</t>
        </is>
      </c>
    </row>
    <row r="13">
      <c r="A13" s="4" t="inlineStr">
        <is>
          <t>Rental price ($/GPU-hr)</t>
        </is>
      </c>
      <c r="B13" s="5" t="n">
        <v>2.35</v>
      </c>
      <c r="C13" s="6" t="inlineStr">
        <is>
          <t>$</t>
        </is>
      </c>
      <c r="D13" s="6" t="inlineStr">
        <is>
          <t>H100-class 1-yr basis held; MI455X $/hr pre-NDA</t>
        </is>
      </c>
    </row>
    <row r="14">
      <c r="A14" s="4" t="inlineStr">
        <is>
          <t>Utilisation (%)</t>
        </is>
      </c>
      <c r="B14" s="9" t="n">
        <v>0.85</v>
      </c>
      <c r="C14" s="6" t="inlineStr">
        <is>
          <t>%</t>
        </is>
      </c>
      <c r="D14" s="6" t="inlineStr">
        <is>
          <t>Blended sold capacity</t>
        </is>
      </c>
    </row>
    <row r="15">
      <c r="A15" s="4" t="inlineStr">
        <is>
          <t>Revenue hours / yr</t>
        </is>
      </c>
      <c r="B15" s="8" t="n">
        <v>8760</v>
      </c>
      <c r="C15" s="6" t="inlineStr">
        <is>
          <t>hr</t>
        </is>
      </c>
    </row>
    <row r="16">
      <c r="A16" s="3" t="inlineStr">
        <is>
          <t>Operating cost</t>
        </is>
      </c>
    </row>
    <row r="17">
      <c r="A17" s="4" t="inlineStr">
        <is>
          <t>Energy price ($/MWh)</t>
        </is>
      </c>
      <c r="B17" s="5" t="n">
        <v>65</v>
      </c>
      <c r="C17" s="6" t="inlineStr">
        <is>
          <t>$</t>
        </is>
      </c>
      <c r="D17" s="6" t="inlineStr">
        <is>
          <t>AEMO QLD Q1 2026 benchmark, dedicated 275 kV grid</t>
        </is>
      </c>
    </row>
    <row r="18">
      <c r="A18" s="4" t="inlineStr">
        <is>
          <t>Powerlink C&amp;A ($/yr)</t>
        </is>
      </c>
      <c r="B18" s="10" t="n">
        <v>2500000</v>
      </c>
      <c r="C18" s="6" t="inlineStr">
        <is>
          <t>$</t>
        </is>
      </c>
      <c r="D18" s="6" t="inlineStr">
        <is>
          <t>Connection &amp; access, N-1</t>
        </is>
      </c>
    </row>
    <row r="19">
      <c r="A19" s="4" t="inlineStr">
        <is>
          <t>Land lease ($/yr)</t>
        </is>
      </c>
      <c r="B19" s="10" t="n">
        <v>1500000</v>
      </c>
      <c r="C19" s="6" t="inlineStr">
        <is>
          <t>$</t>
        </is>
      </c>
      <c r="D19" s="6" t="inlineStr">
        <is>
          <t>99 ha - PLACEHOLDER, awaiting rate</t>
        </is>
      </c>
    </row>
    <row r="20">
      <c r="A20" s="4" t="inlineStr">
        <is>
          <t>Staff &amp; ops ($/yr)</t>
        </is>
      </c>
      <c r="B20" s="10" t="n">
        <v>15000000</v>
      </c>
      <c r="C20" s="6" t="inlineStr">
        <is>
          <t>$</t>
        </is>
      </c>
      <c r="D20" s="6" t="inlineStr">
        <is>
          <t>SRE, security, maintenance at 30 MW</t>
        </is>
      </c>
    </row>
    <row r="21">
      <c r="A21" s="4" t="inlineStr">
        <is>
          <t>Bandwidth &amp; misc ($/yr)</t>
        </is>
      </c>
      <c r="B21" s="10" t="n">
        <v>2250000</v>
      </c>
      <c r="C21" s="6" t="inlineStr">
        <is>
          <t>$</t>
        </is>
      </c>
    </row>
    <row r="22">
      <c r="A22" s="3" t="inlineStr">
        <is>
          <t>Capital</t>
        </is>
      </c>
    </row>
    <row r="23">
      <c r="A23" s="4" t="inlineStr">
        <is>
          <t>GPU capex ($/GPU)</t>
        </is>
      </c>
      <c r="B23" s="10" t="n">
        <v>28000</v>
      </c>
      <c r="C23" s="6" t="inlineStr">
        <is>
          <t>$</t>
        </is>
      </c>
      <c r="D23" s="6" t="inlineStr">
        <is>
          <t>H100-class basis held; MI455X capex pre-NDA</t>
        </is>
      </c>
    </row>
    <row r="24">
      <c r="A24" s="4" t="inlineStr">
        <is>
          <t>Fit-out $/kW (power+cooling+civil)</t>
        </is>
      </c>
      <c r="B24" s="10" t="n">
        <v>9000</v>
      </c>
      <c r="C24" s="6" t="inlineStr">
        <is>
          <t>$</t>
        </is>
      </c>
      <c r="D24" s="6" t="inlineStr">
        <is>
          <t>Direct-liquid hall, $/IT-kW</t>
        </is>
      </c>
    </row>
    <row r="25">
      <c r="A25" s="4" t="inlineStr">
        <is>
          <t>Depreciation life (yrs)</t>
        </is>
      </c>
      <c r="B25" s="5" t="n">
        <v>4</v>
      </c>
      <c r="C25" s="6" t="inlineStr">
        <is>
          <t>yr</t>
        </is>
      </c>
      <c r="D25" s="6" t="inlineStr">
        <is>
          <t>GPU economic life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30" customWidth="1" min="3" max="3"/>
  </cols>
  <sheetData>
    <row r="1">
      <c r="A1" s="1" t="inlineStr">
        <is>
          <t>Annual P&amp;L - Stage-1 (30 MW, steady-state, Yr 1 stabilised)</t>
        </is>
      </c>
    </row>
    <row r="2">
      <c r="A2" s="2" t="inlineStr">
        <is>
          <t>All cells reference Assumptions. Edit inputs there; this recalculates. Modelled estimate, pre-NDA.</t>
        </is>
      </c>
    </row>
    <row r="4">
      <c r="A4" s="11" t="inlineStr">
        <is>
          <t>Line</t>
        </is>
      </c>
      <c r="B4" s="11" t="inlineStr">
        <is>
          <t>Annual ($)</t>
        </is>
      </c>
      <c r="C4" s="11" t="inlineStr">
        <is>
          <t>Note</t>
        </is>
      </c>
    </row>
    <row r="5">
      <c r="A5" s="12" t="inlineStr">
        <is>
          <t>Installed GPUs</t>
        </is>
      </c>
      <c r="B5" s="8">
        <f>Assumptions!$B$11</f>
        <v/>
      </c>
      <c r="C5" s="6" t="inlineStr">
        <is>
          <t>count</t>
        </is>
      </c>
    </row>
    <row r="6">
      <c r="A6" s="3" t="inlineStr">
        <is>
          <t>REVENUE</t>
        </is>
      </c>
    </row>
    <row r="7">
      <c r="A7" s="4" t="inlineStr">
        <is>
          <t>Gross rental revenue</t>
        </is>
      </c>
      <c r="B7" s="13">
        <f>Assumptions!$B$11*Assumptions!$B$13*Assumptions!$B$14*Assumptions!$B$15</f>
        <v/>
      </c>
      <c r="C7" s="6" t="inlineStr">
        <is>
          <t>GPUs x $/hr x util x hrs</t>
        </is>
      </c>
    </row>
    <row r="8">
      <c r="A8" s="3" t="inlineStr">
        <is>
          <t>OPERATING COST</t>
        </is>
      </c>
    </row>
    <row r="9">
      <c r="A9" s="12" t="inlineStr">
        <is>
          <t>Energy</t>
        </is>
      </c>
      <c r="B9" s="14">
        <f>-Assumptions!$B$5*Assumptions!$B$8*Assumptions!$B$17*Assumptions!$B$15</f>
        <v/>
      </c>
      <c r="C9" s="6" t="inlineStr">
        <is>
          <t>MW x PUE x $/MWh x hrs</t>
        </is>
      </c>
    </row>
    <row r="10">
      <c r="A10" s="12" t="inlineStr">
        <is>
          <t>Powerlink C&amp;A</t>
        </is>
      </c>
      <c r="B10" s="14">
        <f>-Assumptions!$B$18</f>
        <v/>
      </c>
    </row>
    <row r="11">
      <c r="A11" s="12" t="inlineStr">
        <is>
          <t>Land lease</t>
        </is>
      </c>
      <c r="B11" s="14">
        <f>-Assumptions!$B$19</f>
        <v/>
      </c>
      <c r="C11" s="6" t="inlineStr">
        <is>
          <t>placeholder</t>
        </is>
      </c>
    </row>
    <row r="12">
      <c r="A12" s="12" t="inlineStr">
        <is>
          <t>Staff &amp; ops</t>
        </is>
      </c>
      <c r="B12" s="14">
        <f>-Assumptions!$B$20</f>
        <v/>
      </c>
    </row>
    <row r="13">
      <c r="A13" s="12" t="inlineStr">
        <is>
          <t>Bandwidth &amp; misc</t>
        </is>
      </c>
      <c r="B13" s="14">
        <f>-Assumptions!$B$21</f>
        <v/>
      </c>
    </row>
    <row r="14">
      <c r="A14" s="4" t="inlineStr">
        <is>
          <t>Total opex</t>
        </is>
      </c>
      <c r="B14" s="14">
        <f>SUM(B8:B12)</f>
        <v/>
      </c>
    </row>
    <row r="15">
      <c r="A15" s="4" t="inlineStr">
        <is>
          <t>EBITDA</t>
        </is>
      </c>
      <c r="B15" s="13">
        <f>B6+B13</f>
        <v/>
      </c>
      <c r="C15" s="6" t="inlineStr">
        <is>
          <t>Revenue - opex</t>
        </is>
      </c>
    </row>
    <row r="16">
      <c r="A16" s="12" t="inlineStr">
        <is>
          <t>EBITDA margin</t>
        </is>
      </c>
      <c r="B16" s="15">
        <f>B14/B6</f>
        <v/>
      </c>
    </row>
    <row r="17">
      <c r="A17" s="3" t="inlineStr">
        <is>
          <t>CAPITAL</t>
        </is>
      </c>
    </row>
    <row r="18">
      <c r="A18" s="12" t="inlineStr">
        <is>
          <t>GPU capex</t>
        </is>
      </c>
      <c r="B18" s="14">
        <f>-Assumptions!$B$11*Assumptions!$B$23</f>
        <v/>
      </c>
      <c r="C18" s="6" t="inlineStr">
        <is>
          <t>one-time</t>
        </is>
      </c>
    </row>
    <row r="19">
      <c r="A19" s="12" t="inlineStr">
        <is>
          <t>Fit-out capex</t>
        </is>
      </c>
      <c r="B19" s="14">
        <f>-Assumptions!$B$5*1000*Assumptions!$B$24</f>
        <v/>
      </c>
      <c r="C19" s="6" t="inlineStr">
        <is>
          <t>one-time</t>
        </is>
      </c>
    </row>
    <row r="20">
      <c r="A20" s="4" t="inlineStr">
        <is>
          <t>Total capex</t>
        </is>
      </c>
      <c r="B20" s="13">
        <f>B17+B18</f>
        <v/>
      </c>
    </row>
    <row r="21">
      <c r="A21" s="3" t="inlineStr">
        <is>
          <t>RETURNS</t>
        </is>
      </c>
    </row>
    <row r="22">
      <c r="A22" s="4" t="inlineStr">
        <is>
          <t>Simple payback (yrs)</t>
        </is>
      </c>
      <c r="B22" s="16">
        <f>-B19/B14</f>
        <v/>
      </c>
      <c r="C22" s="6" t="inlineStr">
        <is>
          <t>capex / EBITDA</t>
        </is>
      </c>
    </row>
    <row r="23">
      <c r="A23" s="12" t="inlineStr">
        <is>
          <t>Pre-tax ROI (Yr1 EBITDA / capex)</t>
        </is>
      </c>
      <c r="B23" s="15">
        <f>B14/-B19</f>
        <v/>
      </c>
    </row>
    <row r="24">
      <c r="A24" s="12" t="inlineStr">
        <is>
          <t>Annual depreciation</t>
        </is>
      </c>
      <c r="B24" s="14">
        <f>B19/Assumptions!$B$25</f>
        <v/>
      </c>
      <c r="C24" s="6" t="inlineStr">
        <is>
          <t>straight-line</t>
        </is>
      </c>
    </row>
    <row r="25">
      <c r="A25" s="12" t="inlineStr">
        <is>
          <t>Approx. pre-tax profit (post-dep)</t>
        </is>
      </c>
      <c r="B25" s="14">
        <f>B14+B23</f>
        <v/>
      </c>
      <c r="C25" s="6" t="inlineStr">
        <is>
          <t>EBITDA - dep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4" customWidth="1" min="3" max="3"/>
    <col width="20" customWidth="1" min="4" max="4"/>
    <col width="20" customWidth="1" min="5" max="5"/>
    <col width="18" customWidth="1" min="6" max="6"/>
  </cols>
  <sheetData>
    <row r="1">
      <c r="A1" s="1" t="inlineStr">
        <is>
          <t>Build-out staircase - revenue scales with IT MW</t>
        </is>
      </c>
    </row>
    <row r="2">
      <c r="A2" s="2" t="inlineStr">
        <is>
          <t>Holds per-MW economics from Stage-1; scales load. Fixed opex scaled per-MW (conservative). Directional.</t>
        </is>
      </c>
    </row>
    <row r="4">
      <c r="A4" s="11" t="inlineStr">
        <is>
          <t>Stage</t>
        </is>
      </c>
      <c r="B4" s="11" t="inlineStr">
        <is>
          <t>IT MW</t>
        </is>
      </c>
      <c r="C4" s="11" t="inlineStr">
        <is>
          <t>GPUs</t>
        </is>
      </c>
      <c r="D4" s="11" t="inlineStr">
        <is>
          <t>Gross revenue $/yr</t>
        </is>
      </c>
      <c r="E4" s="11" t="inlineStr">
        <is>
          <t>EBITDA $/yr</t>
        </is>
      </c>
      <c r="F4" s="11" t="inlineStr">
        <is>
          <t>Total capex $</t>
        </is>
      </c>
    </row>
    <row r="5">
      <c r="A5" s="4" t="inlineStr">
        <is>
          <t>Stage-1</t>
        </is>
      </c>
      <c r="B5" s="12" t="n">
        <v>30</v>
      </c>
      <c r="C5" s="8">
        <f>B5*1000/Assumptions!$B$6*Assumptions!$B$9</f>
        <v/>
      </c>
      <c r="D5" s="14">
        <f>C5*Assumptions!$B$13*Assumptions!$B$14*Assumptions!$B$15</f>
        <v/>
      </c>
      <c r="E5" s="14">
        <f>D5-B5*Assumptions!$B$8*Assumptions!$B$17*Assumptions!$B$15-((Assumptions!$B$18+Assumptions!$B$19+Assumptions!$B$20+Assumptions!$B$21)*B5/Assumptions!$B$5)</f>
        <v/>
      </c>
      <c r="F5" s="14">
        <f>C5*Assumptions!$B$23+B5*1000*Assumptions!$B$24</f>
        <v/>
      </c>
    </row>
    <row r="6">
      <c r="A6" s="4" t="inlineStr">
        <is>
          <t>Build-out</t>
        </is>
      </c>
      <c r="B6" s="12" t="n">
        <v>100</v>
      </c>
      <c r="C6" s="8">
        <f>B6*1000/Assumptions!$B$6*Assumptions!$B$9</f>
        <v/>
      </c>
      <c r="D6" s="14">
        <f>C6*Assumptions!$B$13*Assumptions!$B$14*Assumptions!$B$15</f>
        <v/>
      </c>
      <c r="E6" s="14">
        <f>D6-B6*Assumptions!$B$8*Assumptions!$B$17*Assumptions!$B$15-((Assumptions!$B$18+Assumptions!$B$19+Assumptions!$B$20+Assumptions!$B$21)*B6/Assumptions!$B$5)</f>
        <v/>
      </c>
      <c r="F6" s="14">
        <f>C6*Assumptions!$B$23+B6*1000*Assumptions!$B$24</f>
        <v/>
      </c>
    </row>
    <row r="7">
      <c r="A7" s="4" t="inlineStr">
        <is>
          <t>Expansion</t>
        </is>
      </c>
      <c r="B7" s="12" t="n">
        <v>300</v>
      </c>
      <c r="C7" s="8">
        <f>B7*1000/Assumptions!$B$6*Assumptions!$B$9</f>
        <v/>
      </c>
      <c r="D7" s="14">
        <f>C7*Assumptions!$B$13*Assumptions!$B$14*Assumptions!$B$15</f>
        <v/>
      </c>
      <c r="E7" s="14">
        <f>D7-B7*Assumptions!$B$8*Assumptions!$B$17*Assumptions!$B$15-((Assumptions!$B$18+Assumptions!$B$19+Assumptions!$B$20+Assumptions!$B$21)*B7/Assumptions!$B$5)</f>
        <v/>
      </c>
      <c r="F7" s="14">
        <f>C7*Assumptions!$B$23+B7*1000*Assumptions!$B$24</f>
        <v/>
      </c>
    </row>
    <row r="8">
      <c r="A8" s="4" t="inlineStr">
        <is>
          <t>Program</t>
        </is>
      </c>
      <c r="B8" s="12" t="n">
        <v>800</v>
      </c>
      <c r="C8" s="8">
        <f>B8*1000/Assumptions!$B$6*Assumptions!$B$9</f>
        <v/>
      </c>
      <c r="D8" s="14">
        <f>C8*Assumptions!$B$13*Assumptions!$B$14*Assumptions!$B$15</f>
        <v/>
      </c>
      <c r="E8" s="14">
        <f>D8-B8*Assumptions!$B$8*Assumptions!$B$17*Assumptions!$B$15-((Assumptions!$B$18+Assumptions!$B$19+Assumptions!$B$20+Assumptions!$B$21)*B8/Assumptions!$B$5)</f>
        <v/>
      </c>
      <c r="F8" s="14">
        <f>C8*Assumptions!$B$23+B8*1000*Assumptions!$B$24</f>
        <v/>
      </c>
    </row>
    <row r="10">
      <c r="A10" s="6" t="inlineStr">
        <is>
          <t>Note: fixed opex scaled linearly per-MW here for simplicity - real build-out enjoys operating leverage (Powerlink C&amp;A + land largely fixed), so larger stages have structurally higher margins than shown.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16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Sensitivity - EBITDA vs rental price x utilisation (Stage-1, 30 MW)</t>
        </is>
      </c>
    </row>
    <row r="2">
      <c r="A2" s="2" t="inlineStr">
        <is>
          <t>Rows = $/GPU-hr, Cols = utilisation. Recomputes Stage-1 EBITDA from Assumptions.</t>
        </is>
      </c>
    </row>
    <row r="4">
      <c r="A4" s="17" t="inlineStr">
        <is>
          <t>$/GPU-hr \ util</t>
        </is>
      </c>
      <c r="B4" s="18" t="n">
        <v>0.65</v>
      </c>
      <c r="C4" s="18" t="n">
        <v>0.75</v>
      </c>
      <c r="D4" s="18" t="n">
        <v>0.85</v>
      </c>
      <c r="E4" s="18" t="n">
        <v>0.95</v>
      </c>
    </row>
    <row r="5">
      <c r="A5" s="4" t="n">
        <v>1.8</v>
      </c>
      <c r="B5" s="14">
        <f>Assumptions!$B$11*1.8*0.65*Assumptions!$B$15-Assumptions!$B$5*Assumptions!$B$8*Assumptions!$B$17*Assumptions!$B$15-(Assumptions!$B$18+Assumptions!$B$19+Assumptions!$B$20+Assumptions!$B$21)</f>
        <v/>
      </c>
      <c r="C5" s="14">
        <f>Assumptions!$B$11*1.8*0.75*Assumptions!$B$15-Assumptions!$B$5*Assumptions!$B$8*Assumptions!$B$17*Assumptions!$B$15-(Assumptions!$B$18+Assumptions!$B$19+Assumptions!$B$20+Assumptions!$B$21)</f>
        <v/>
      </c>
      <c r="D5" s="14">
        <f>Assumptions!$B$11*1.8*0.85*Assumptions!$B$15-Assumptions!$B$5*Assumptions!$B$8*Assumptions!$B$17*Assumptions!$B$15-(Assumptions!$B$18+Assumptions!$B$19+Assumptions!$B$20+Assumptions!$B$21)</f>
        <v/>
      </c>
      <c r="E5" s="14">
        <f>Assumptions!$B$11*1.8*0.95*Assumptions!$B$15-Assumptions!$B$5*Assumptions!$B$8*Assumptions!$B$17*Assumptions!$B$15-(Assumptions!$B$18+Assumptions!$B$19+Assumptions!$B$20+Assumptions!$B$21)</f>
        <v/>
      </c>
    </row>
    <row r="6">
      <c r="A6" s="4" t="n">
        <v>2.1</v>
      </c>
      <c r="B6" s="14">
        <f>Assumptions!$B$11*2.1*0.65*Assumptions!$B$15-Assumptions!$B$5*Assumptions!$B$8*Assumptions!$B$17*Assumptions!$B$15-(Assumptions!$B$18+Assumptions!$B$19+Assumptions!$B$20+Assumptions!$B$21)</f>
        <v/>
      </c>
      <c r="C6" s="14">
        <f>Assumptions!$B$11*2.1*0.75*Assumptions!$B$15-Assumptions!$B$5*Assumptions!$B$8*Assumptions!$B$17*Assumptions!$B$15-(Assumptions!$B$18+Assumptions!$B$19+Assumptions!$B$20+Assumptions!$B$21)</f>
        <v/>
      </c>
      <c r="D6" s="14">
        <f>Assumptions!$B$11*2.1*0.85*Assumptions!$B$15-Assumptions!$B$5*Assumptions!$B$8*Assumptions!$B$17*Assumptions!$B$15-(Assumptions!$B$18+Assumptions!$B$19+Assumptions!$B$20+Assumptions!$B$21)</f>
        <v/>
      </c>
      <c r="E6" s="14">
        <f>Assumptions!$B$11*2.1*0.95*Assumptions!$B$15-Assumptions!$B$5*Assumptions!$B$8*Assumptions!$B$17*Assumptions!$B$15-(Assumptions!$B$18+Assumptions!$B$19+Assumptions!$B$20+Assumptions!$B$21)</f>
        <v/>
      </c>
    </row>
    <row r="7">
      <c r="A7" s="4" t="n">
        <v>2.35</v>
      </c>
      <c r="B7" s="14">
        <f>Assumptions!$B$11*2.35*0.65*Assumptions!$B$15-Assumptions!$B$5*Assumptions!$B$8*Assumptions!$B$17*Assumptions!$B$15-(Assumptions!$B$18+Assumptions!$B$19+Assumptions!$B$20+Assumptions!$B$21)</f>
        <v/>
      </c>
      <c r="C7" s="14">
        <f>Assumptions!$B$11*2.35*0.75*Assumptions!$B$15-Assumptions!$B$5*Assumptions!$B$8*Assumptions!$B$17*Assumptions!$B$15-(Assumptions!$B$18+Assumptions!$B$19+Assumptions!$B$20+Assumptions!$B$21)</f>
        <v/>
      </c>
      <c r="D7" s="19">
        <f>Assumptions!$B$11*2.35*0.85*Assumptions!$B$15-Assumptions!$B$5*Assumptions!$B$8*Assumptions!$B$17*Assumptions!$B$15-(Assumptions!$B$18+Assumptions!$B$19+Assumptions!$B$20+Assumptions!$B$21)</f>
        <v/>
      </c>
      <c r="E7" s="14">
        <f>Assumptions!$B$11*2.35*0.95*Assumptions!$B$15-Assumptions!$B$5*Assumptions!$B$8*Assumptions!$B$17*Assumptions!$B$15-(Assumptions!$B$18+Assumptions!$B$19+Assumptions!$B$20+Assumptions!$B$21)</f>
        <v/>
      </c>
    </row>
    <row r="8">
      <c r="A8" s="4" t="n">
        <v>2.8</v>
      </c>
      <c r="B8" s="14">
        <f>Assumptions!$B$11*2.8*0.65*Assumptions!$B$15-Assumptions!$B$5*Assumptions!$B$8*Assumptions!$B$17*Assumptions!$B$15-(Assumptions!$B$18+Assumptions!$B$19+Assumptions!$B$20+Assumptions!$B$21)</f>
        <v/>
      </c>
      <c r="C8" s="14">
        <f>Assumptions!$B$11*2.8*0.75*Assumptions!$B$15-Assumptions!$B$5*Assumptions!$B$8*Assumptions!$B$17*Assumptions!$B$15-(Assumptions!$B$18+Assumptions!$B$19+Assumptions!$B$20+Assumptions!$B$21)</f>
        <v/>
      </c>
      <c r="D8" s="14">
        <f>Assumptions!$B$11*2.8*0.85*Assumptions!$B$15-Assumptions!$B$5*Assumptions!$B$8*Assumptions!$B$17*Assumptions!$B$15-(Assumptions!$B$18+Assumptions!$B$19+Assumptions!$B$20+Assumptions!$B$21)</f>
        <v/>
      </c>
      <c r="E8" s="14">
        <f>Assumptions!$B$11*2.8*0.95*Assumptions!$B$15-Assumptions!$B$5*Assumptions!$B$8*Assumptions!$B$17*Assumptions!$B$15-(Assumptions!$B$18+Assumptions!$B$19+Assumptions!$B$20+Assumptions!$B$21)</f>
        <v/>
      </c>
    </row>
    <row r="9">
      <c r="A9" s="4" t="n">
        <v>3.3</v>
      </c>
      <c r="B9" s="14">
        <f>Assumptions!$B$11*3.3*0.65*Assumptions!$B$15-Assumptions!$B$5*Assumptions!$B$8*Assumptions!$B$17*Assumptions!$B$15-(Assumptions!$B$18+Assumptions!$B$19+Assumptions!$B$20+Assumptions!$B$21)</f>
        <v/>
      </c>
      <c r="C9" s="14">
        <f>Assumptions!$B$11*3.3*0.75*Assumptions!$B$15-Assumptions!$B$5*Assumptions!$B$8*Assumptions!$B$17*Assumptions!$B$15-(Assumptions!$B$18+Assumptions!$B$19+Assumptions!$B$20+Assumptions!$B$21)</f>
        <v/>
      </c>
      <c r="D9" s="14">
        <f>Assumptions!$B$11*3.3*0.85*Assumptions!$B$15-Assumptions!$B$5*Assumptions!$B$8*Assumptions!$B$17*Assumptions!$B$15-(Assumptions!$B$18+Assumptions!$B$19+Assumptions!$B$20+Assumptions!$B$21)</f>
        <v/>
      </c>
      <c r="E9" s="14">
        <f>Assumptions!$B$11*3.3*0.95*Assumptions!$B$15-Assumptions!$B$5*Assumptions!$B$8*Assumptions!$B$17*Assumptions!$B$15-(Assumptions!$B$18+Assumptions!$B$19+Assumptions!$B$20+Assumptions!$B$21)</f>
        <v/>
      </c>
    </row>
    <row r="11">
      <c r="A11" s="6" t="inlineStr">
        <is>
          <t>Green = base case (~$2.35/hr held at H100 basis, 85% util). Each cell is annual Stage-1 EBITDA before capex/depreciation. MI455X $/GPU-hr pre-NDA.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1" customWidth="1" min="3" max="3"/>
    <col width="46" customWidth="1" min="4" max="4"/>
  </cols>
  <sheetData>
    <row r="1">
      <c r="A1" s="1" t="inlineStr">
        <is>
          <t>Use of funds - what the Stage-1 raise buys</t>
        </is>
      </c>
    </row>
    <row r="2">
      <c r="A2" s="2" t="inlineStr">
        <is>
          <t>Stage-1 ~30 MW. Capex lines reference Assumptions; working capital + contingency are raise-sizing inputs. Modelled estimate.</t>
        </is>
      </c>
    </row>
    <row r="4">
      <c r="A4" s="11" t="inlineStr">
        <is>
          <t>Use</t>
        </is>
      </c>
      <c r="B4" s="11" t="inlineStr">
        <is>
          <t>Amount ($)</t>
        </is>
      </c>
      <c r="C4" s="11" t="inlineStr">
        <is>
          <t>% of raise</t>
        </is>
      </c>
      <c r="D4" s="11" t="inlineStr">
        <is>
          <t>Basis</t>
        </is>
      </c>
    </row>
    <row r="5">
      <c r="A5" s="12" t="inlineStr">
        <is>
          <t>GPU hardware</t>
        </is>
      </c>
      <c r="B5" s="14">
        <f>Assumptions!$B$11*Assumptions!$B$23</f>
        <v/>
      </c>
      <c r="C5" s="15">
        <f>B5/$B$11</f>
        <v/>
      </c>
      <c r="D5" s="6" t="inlineStr">
        <is>
          <t>MI455X / Helios rack-scale systems, networking, storage</t>
        </is>
      </c>
    </row>
    <row r="6">
      <c r="A6" s="12" t="inlineStr">
        <is>
          <t>Power + cooling fit-out</t>
        </is>
      </c>
      <c r="B6" s="14">
        <f>Assumptions!$B$5*1000*Assumptions!$B$24</f>
        <v/>
      </c>
      <c r="C6" s="15">
        <f>B6/$B$11</f>
        <v/>
      </c>
      <c r="D6" s="6" t="inlineStr">
        <is>
          <t>275kV-&gt;33kV-&gt;LV, rectifiers, direct-liquid loop, civil</t>
        </is>
      </c>
    </row>
    <row r="7">
      <c r="A7" s="12" t="inlineStr">
        <is>
          <t>Grid connection (yr-1 C&amp;A)</t>
        </is>
      </c>
      <c r="B7" s="14">
        <f>Assumptions!$B$18</f>
        <v/>
      </c>
      <c r="C7" s="15">
        <f>B7/$B$11</f>
        <v/>
      </c>
      <c r="D7" s="6" t="inlineStr">
        <is>
          <t>Powerlink Connection &amp; Access, first year</t>
        </is>
      </c>
    </row>
    <row r="8">
      <c r="A8" s="12" t="inlineStr">
        <is>
          <t>Working capital (6 mo opex)</t>
        </is>
      </c>
      <c r="B8" s="14">
        <f>(Assumptions!$B$18+Assumptions!$B$19+Assumptions!$B$20+Assumptions!$B$21)/2</f>
        <v/>
      </c>
      <c r="C8" s="15">
        <f>B8/$B$11</f>
        <v/>
      </c>
      <c r="D8" s="6" t="inlineStr">
        <is>
          <t>Runway to revenue stabilisation</t>
        </is>
      </c>
    </row>
    <row r="9">
      <c r="A9" s="12" t="inlineStr">
        <is>
          <t>Team + setup (pre-revenue)</t>
        </is>
      </c>
      <c r="B9" s="14" t="n">
        <v>1500000</v>
      </c>
      <c r="C9" s="15">
        <f>B9/$B$11</f>
        <v/>
      </c>
      <c r="D9" s="6" t="inlineStr">
        <is>
          <t>Core ops hires, legal, entity, insurance</t>
        </is>
      </c>
    </row>
    <row r="10">
      <c r="A10" s="4" t="inlineStr">
        <is>
          <t>Subtotal</t>
        </is>
      </c>
      <c r="B10" s="14">
        <f>SUM(B5:B9)</f>
        <v/>
      </c>
    </row>
    <row r="11">
      <c r="A11" s="12" t="inlineStr">
        <is>
          <t>Contingency (10%)</t>
        </is>
      </c>
      <c r="B11" s="14">
        <f>B10*0.10</f>
        <v/>
      </c>
      <c r="D11" s="6" t="inlineStr">
        <is>
          <t>Buffer on capex + setup</t>
        </is>
      </c>
    </row>
    <row r="12">
      <c r="A12" s="20" t="inlineStr">
        <is>
          <t>TOTAL RAISE (Stage-1)</t>
        </is>
      </c>
      <c r="B12" s="13">
        <f>B10+B11</f>
        <v/>
      </c>
      <c r="C12" s="21">
        <f>1</f>
        <v/>
      </c>
      <c r="D12" s="6" t="inlineStr">
        <is>
          <t>All-equity worst case</t>
        </is>
      </c>
    </row>
    <row r="14">
      <c r="A14" s="6" t="inlineStr">
        <is>
          <t>Note: GPUs are ~53% of the raise - a financeable, resaleable asset (not sunk). Vendor-financing / GPU-lease can materially cut the equity cheque; this sheet shows the all-equity worst case.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2" customWidth="1" min="1" max="1"/>
  </cols>
  <sheetData>
    <row r="1">
      <c r="A1" s="1" t="inlineStr">
        <is>
          <t>How to use this model</t>
        </is>
      </c>
    </row>
    <row r="2">
      <c r="A2" s="2" t="inlineStr">
        <is>
          <t>Stage-1 (30 MW) sovereign-compute deployment at Swanbank. Modelled estimate, pre-NDA.</t>
        </is>
      </c>
    </row>
    <row r="4">
      <c r="A4" s="12" t="inlineStr">
        <is>
          <t>1. Edit only the yellow cells on the Assumptions tab. Every other tab references them.</t>
        </is>
      </c>
    </row>
    <row r="5">
      <c r="A5" s="12" t="inlineStr">
        <is>
          <t>2. P&amp;L = stabilised Year-1 Stage-1 (~30 MW). Build-out scales the same per-MW economics.</t>
        </is>
      </c>
    </row>
    <row r="6">
      <c r="A6" s="12" t="inlineStr">
        <is>
          <t>3. Silicon: ~200 AMD Instinct MI455X Helios rack-scale systems, ~14,500 GPUs, direct-to-chip liquid cooling.</t>
        </is>
      </c>
    </row>
    <row r="7">
      <c r="A7" s="12" t="inlineStr">
        <is>
          <t>4. Power: dedicated 275 kV grid connection at CleanCo's Swanbank Energy Precinct; operational Q1 2028.</t>
        </is>
      </c>
    </row>
    <row r="8">
      <c r="A8" s="12" t="inlineStr">
        <is>
          <t>5. Revenue ($2.35/GPU-hr) held at the 2026 H100-class 1-yr contract basis. MI455X is a higher-performance</t>
        </is>
      </c>
    </row>
    <row r="9">
      <c r="A9" s="12" t="inlineStr">
        <is>
          <t xml:space="preserve">   generation - real $/GPU-hr AND $/GPU capex move with vendor quotes (pre-NDA); held flat here as a basis.</t>
        </is>
      </c>
    </row>
    <row r="10">
      <c r="A10" s="12" t="inlineStr">
        <is>
          <t>6. Land lease ($1.5m/yr) is a PLACEHOLDER pending the real $/ha/yr rate - flagged on Assumptions.</t>
        </is>
      </c>
    </row>
    <row r="11">
      <c r="A11" s="12" t="inlineStr">
        <is>
          <t>7. Energy ($65/MWh) = AEMO QLD Q1 2026 wholesale benchmark via the dedicated 275 kV connection.</t>
        </is>
      </c>
    </row>
    <row r="12">
      <c r="A12" s="12" t="inlineStr">
        <is>
          <t>8. Switch demand-aggregation upside (wholesale-vs-retail spread on routed frontier-lab traffic) is NOT</t>
        </is>
      </c>
    </row>
    <row r="13">
      <c r="A13" s="12" t="inlineStr">
        <is>
          <t xml:space="preserve">   modelled here - it is incremental margin on top of the owned-substrate P&amp;L.</t>
        </is>
      </c>
    </row>
    <row r="14">
      <c r="A14" s="12" t="inlineStr">
        <is>
          <t>9. Excludes: financing structure, tax, GST, ramp curve, take-or-pay. Directional only; not investment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2026-06-20T07:12:19Z</dcterms:created>
  <dcterms:modified xmlns:dcterms="http://purl.org/dc/terms/" xmlns:xsi="http://www.w3.org/2001/XMLSchema-instance" xsi:type="dcterms:W3CDTF">2026-06-20T07:12:19Z</dcterms:modified>
</cp:coreProperties>
</file>